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2">'equity'!$A$1:$I$35</definedName>
  </definedNames>
  <calcPr fullCalcOnLoad="1"/>
</workbook>
</file>

<file path=xl/sharedStrings.xml><?xml version="1.0" encoding="utf-8"?>
<sst xmlns="http://schemas.openxmlformats.org/spreadsheetml/2006/main" count="133" uniqueCount="110">
  <si>
    <t>JUAN KUANG (M) INDUSTRIAL BERHAD (Co. No. 73170-V)</t>
  </si>
  <si>
    <t>Condensed Consolidated Income Statements</t>
  </si>
  <si>
    <t>For the period ended 31 January 2006</t>
  </si>
  <si>
    <t>12 months ended 31 January</t>
  </si>
  <si>
    <t>RM'000</t>
  </si>
  <si>
    <t>Revenue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</si>
  <si>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</si>
  <si>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</si>
  <si>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</si>
  <si>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</si>
  <si>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</si>
  <si>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before tax</t>
  </si>
  <si>
    <t>Taxation</t>
  </si>
  <si>
    <t>Profit/(Loss) after tax</t>
  </si>
  <si>
    <t>Minority interests</t>
  </si>
  <si>
    <t>Net profit/(loss) for the period</t>
  </si>
  <si>
    <t>EPS - Basic (sen)</t>
  </si>
  <si>
    <t xml:space="preserve">        - Diluted (sen)</t>
  </si>
  <si>
    <t>Condensed Consolidated Balance Sheets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</si>
  <si>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</si>
  <si>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</si>
  <si>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</si>
  <si>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</si>
  <si>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</si>
  <si>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</si>
  <si>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</si>
  <si>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</si>
  <si>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</si>
  <si>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</si>
  <si>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</si>
  <si>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</si>
  <si>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</si>
  <si>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</si>
  <si>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</si>
  <si>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</si>
  <si>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</si>
  <si>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</si>
  <si>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</si>
  <si>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>Provision for liqudated damages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</si>
  <si>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</si>
  <si>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</si>
  <si>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</si>
  <si>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</si>
  <si>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</si>
  <si>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</si>
  <si>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</si>
  <si>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Cash Flow Statements</t>
  </si>
  <si>
    <t>quarter</t>
  </si>
  <si>
    <t>31-01-06</t>
  </si>
  <si>
    <t>31-01-05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</si>
  <si>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</si>
  <si>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</si>
  <si>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</si>
  <si>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</si>
  <si>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</si>
  <si>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</si>
  <si>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</si>
  <si>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Gain on capital repayment of quoted shares</t>
  </si>
  <si>
    <t>Allowance for diminution in value of quoted shares</t>
  </si>
  <si>
    <t>Negative goodwill written off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</si>
  <si>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</si>
  <si>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</si>
  <si>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</si>
  <si>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</si>
  <si>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</si>
  <si>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refund / (paid)</t>
  </si>
  <si>
    <t>Net cash generated from / (used in) operating activities</t>
  </si>
  <si>
    <t>Investing Activities</t>
  </si>
  <si>
    <t>Purchase of property, plant and equipment</t>
  </si>
  <si>
    <t>Proceeds on disposal of property, plant and equipment</t>
  </si>
  <si>
    <t>Dividend received from an associate</t>
  </si>
  <si>
    <t>Dividend received from investment in quoted shares</t>
  </si>
  <si>
    <t>Interest received</t>
  </si>
  <si>
    <t>Capital repayment form quoted shares</t>
  </si>
  <si>
    <t>Effect of acquisition of a subsidiary</t>
  </si>
  <si>
    <t>Financing Activities</t>
  </si>
  <si>
    <t>Interest paid</t>
  </si>
  <si>
    <t>Proceeds from issuance of shares</t>
  </si>
  <si>
    <t>Dividend paid to minority shareholders</t>
  </si>
  <si>
    <t>Drawdown / (repayment) of term loan</t>
  </si>
  <si>
    <t>Drawdown / (repayment) of bank borrowings</t>
  </si>
  <si>
    <t>Net increase / (decrease) in cash and cash equivalents</t>
  </si>
  <si>
    <t>Cash and cash equivalents at 1 February 2005</t>
  </si>
  <si>
    <t>Cash and cash equivalents at 31 January 2006</t>
  </si>
  <si>
    <t>Condensed Consolidated Statements of Changes in Equity</t>
  </si>
  <si>
    <t>Share Premium</t>
  </si>
  <si>
    <t>Revaluation Reserve</t>
  </si>
  <si>
    <t>Capital Reserve</t>
  </si>
  <si>
    <t>Exchange Reserve</t>
  </si>
  <si>
    <t>Total</t>
  </si>
  <si>
    <t>(RM'000)</t>
  </si>
  <si>
    <t>Balance at 1 February 2005</t>
  </si>
  <si>
    <t>Issuance of shares</t>
  </si>
  <si>
    <t>Currency translation differences</t>
  </si>
  <si>
    <t>Net Profit for the period</t>
  </si>
  <si>
    <t>Balance at 31 January 2006</t>
  </si>
  <si>
    <t>Balance at 1 February 2004</t>
  </si>
  <si>
    <t>Realised of Revaluation Reserve</t>
  </si>
  <si>
    <t>Balance at 31 January 2005</t>
  </si>
  <si>
    <t>3 months ended 31 January</t>
  </si>
  <si>
    <t>As at 31 January 2006</t>
  </si>
  <si>
    <t>for the 12 months ended 31 January 2006</t>
  </si>
  <si>
    <t>Plant and equipment written off</t>
  </si>
  <si>
    <t>Write down in value of property</t>
  </si>
  <si>
    <t>Increase on investment in associated company</t>
  </si>
  <si>
    <t>Repayment of hire purchase obligations</t>
  </si>
  <si>
    <t>12 months ended 31 January 2006</t>
  </si>
  <si>
    <t>12 months ended 31 January 2005</t>
  </si>
  <si>
    <t>Writeback on allowance for doubtful debts</t>
  </si>
  <si>
    <t>Accumulated Profit/ (Losses)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</si>
</sst>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yy"/>
    <numFmt numFmtId="166" formatCode="dd/mmm/yyyy"/>
    <numFmt numFmtId="167" formatCode="_(* #,##0.00000_);_(* \(#,##0.00000\);_(* &quot;-&quot;??_);_(@_)"/>
    <numFmt numFmtId="168" formatCode="_(* #,##0.000_);_(* \(#,##0.000\);_(* &quot;-&quot;??_);_(@_)"/>
    <numFmt numFmtId="169" formatCode="#,##0.000_);[Red]\(#,##0.000\)"/>
    <numFmt numFmtId="170" formatCode="dd\-mmm\-yy"/>
    <numFmt numFmtId="171" formatCode="_(* #,##0.000000_);_(* \(#,##0.000000\);_(* &quot;-&quot;??_);_(@_)"/>
    <numFmt numFmtId="172" formatCode="_(* #,##0.0_);_(* \(#,##0.0\);_(* &quot;-&quot;??_);_(@_)"/>
  </numFmts>
  <fonts count="14"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3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4" xfId="15" applyFont="1" applyBorder="1" applyAlignment="1">
      <alignment/>
    </xf>
    <xf numFmtId="43" fontId="1" fillId="0" borderId="0" xfId="15" applyFont="1" applyBorder="1" applyAlignment="1">
      <alignment/>
    </xf>
    <xf numFmtId="164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3" xfId="15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1" fillId="0" borderId="7" xfId="15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41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7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41" fontId="1" fillId="0" borderId="8" xfId="15" applyNumberFormat="1" applyFont="1" applyFill="1" applyBorder="1" applyAlignment="1">
      <alignment/>
    </xf>
    <xf numFmtId="37" fontId="1" fillId="0" borderId="0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9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0" xfId="15" applyNumberFormat="1" applyFont="1" applyAlignment="1">
      <alignment/>
    </xf>
    <xf numFmtId="41" fontId="6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3" fontId="6" fillId="0" borderId="0" xfId="15" applyFont="1" applyAlignment="1">
      <alignment/>
    </xf>
    <xf numFmtId="41" fontId="1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41" fontId="1" fillId="0" borderId="9" xfId="15" applyNumberFormat="1" applyFont="1" applyFill="1" applyBorder="1" applyAlignment="1">
      <alignment/>
    </xf>
    <xf numFmtId="41" fontId="1" fillId="0" borderId="9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171" fontId="8" fillId="0" borderId="0" xfId="15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164" fontId="4" fillId="0" borderId="10" xfId="15" applyNumberFormat="1" applyFont="1" applyBorder="1" applyAlignment="1">
      <alignment horizontal="center"/>
    </xf>
    <xf numFmtId="164" fontId="4" fillId="0" borderId="9" xfId="15" applyNumberFormat="1" applyFont="1" applyBorder="1" applyAlignment="1">
      <alignment horizontal="center"/>
    </xf>
    <xf numFmtId="164" fontId="4" fillId="0" borderId="11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7</xdr:col>
      <xdr:colOff>733425</xdr:colOff>
      <xdr:row>39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6181725"/>
          <a:ext cx="5543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5</xdr:col>
      <xdr:colOff>771525</xdr:colOff>
      <xdr:row>53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53625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2005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5</xdr:col>
      <xdr:colOff>771525</xdr:colOff>
      <xdr:row>53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296275"/>
          <a:ext cx="53625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104775</xdr:rowOff>
    </xdr:from>
    <xdr:to>
      <xdr:col>9</xdr:col>
      <xdr:colOff>9525</xdr:colOff>
      <xdr:row>34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" y="5562600"/>
          <a:ext cx="8382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Statements of Changes in Equity should be read in conjunction with the Annual Financial Report for the year ended 31st January 2005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5</xdr:col>
      <xdr:colOff>0</xdr:colOff>
      <xdr:row>60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048750"/>
          <a:ext cx="6010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Documents\Quarterly%20report\Qtr4-2006\c\jkconsol-200601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 PL"/>
      <sheetName val="Cond BS"/>
      <sheetName val="cf"/>
      <sheetName val="equity"/>
      <sheetName val="cf work"/>
      <sheetName val="det equity"/>
      <sheetName val="EPS"/>
      <sheetName val="Fully diluted"/>
      <sheetName val="adj"/>
      <sheetName val="Sheet1"/>
      <sheetName val="Source"/>
      <sheetName val="pl"/>
      <sheetName val="P&amp;L"/>
      <sheetName val="bs"/>
      <sheetName val="B. Sheet"/>
      <sheetName val="notes"/>
      <sheetName val="working"/>
      <sheetName val="seg"/>
      <sheetName val="segYTD"/>
      <sheetName val="Proof of MI"/>
      <sheetName val="je"/>
      <sheetName val="Proof of RE"/>
      <sheetName val="FJK"/>
      <sheetName val="op bal"/>
      <sheetName val="reserve"/>
      <sheetName val="cnx"/>
      <sheetName val="goodwill"/>
      <sheetName val="segOct"/>
      <sheetName val="inter SP"/>
      <sheetName val="seg Apr"/>
      <sheetName val="Announcement"/>
      <sheetName val="disposal"/>
      <sheetName val="FA"/>
      <sheetName val="summary"/>
      <sheetName val="Announcement note"/>
    </sheetNames>
    <sheetDataSet>
      <sheetData sheetId="0">
        <row r="23">
          <cell r="F23">
            <v>25284</v>
          </cell>
        </row>
      </sheetData>
      <sheetData sheetId="1">
        <row r="32">
          <cell r="D32">
            <v>3430</v>
          </cell>
          <cell r="F32">
            <v>8529</v>
          </cell>
        </row>
        <row r="47">
          <cell r="D47">
            <v>8457</v>
          </cell>
          <cell r="F47">
            <v>3017</v>
          </cell>
        </row>
      </sheetData>
      <sheetData sheetId="2">
        <row r="4">
          <cell r="A4" t="str">
            <v>for the 12 months ended 31 January 2006</v>
          </cell>
        </row>
      </sheetData>
      <sheetData sheetId="5">
        <row r="13">
          <cell r="D13">
            <v>53020</v>
          </cell>
          <cell r="E13">
            <v>3704</v>
          </cell>
          <cell r="F13">
            <v>377</v>
          </cell>
          <cell r="G13">
            <v>353</v>
          </cell>
          <cell r="H13">
            <v>512</v>
          </cell>
          <cell r="I13">
            <v>-16356</v>
          </cell>
        </row>
        <row r="15">
          <cell r="A15" t="str">
            <v>Transfer from retained profit to capital reverse</v>
          </cell>
          <cell r="C15">
            <v>0</v>
          </cell>
          <cell r="D15">
            <v>0</v>
          </cell>
          <cell r="E15">
            <v>0</v>
          </cell>
        </row>
        <row r="17">
          <cell r="A17" t="str">
            <v>Currency translation differences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15470</v>
          </cell>
        </row>
        <row r="23">
          <cell r="D23">
            <v>53020</v>
          </cell>
          <cell r="E23">
            <v>3704</v>
          </cell>
          <cell r="F23">
            <v>377</v>
          </cell>
          <cell r="G23">
            <v>464</v>
          </cell>
          <cell r="H23">
            <v>515</v>
          </cell>
          <cell r="I23">
            <v>-996.9</v>
          </cell>
        </row>
        <row r="26">
          <cell r="A26" t="str">
            <v>Transfer from retained profit to capital reverse</v>
          </cell>
        </row>
        <row r="27">
          <cell r="H27">
            <v>108</v>
          </cell>
        </row>
        <row r="29">
          <cell r="I29">
            <v>12176</v>
          </cell>
        </row>
        <row r="31">
          <cell r="F31">
            <v>0</v>
          </cell>
        </row>
      </sheetData>
      <sheetData sheetId="6">
        <row r="18">
          <cell r="G18">
            <v>5.41</v>
          </cell>
        </row>
        <row r="20">
          <cell r="G20">
            <v>22.95</v>
          </cell>
        </row>
      </sheetData>
      <sheetData sheetId="7">
        <row r="24">
          <cell r="I24">
            <v>5.403527576633968</v>
          </cell>
          <cell r="K24">
            <v>22.940505149399094</v>
          </cell>
        </row>
      </sheetData>
      <sheetData sheetId="12">
        <row r="7">
          <cell r="Y7">
            <v>211228.37679999997</v>
          </cell>
          <cell r="AA7">
            <v>51990.90479999996</v>
          </cell>
        </row>
        <row r="11">
          <cell r="Y11">
            <v>-153097.85779999997</v>
          </cell>
          <cell r="AA11">
            <v>-48188.28779999996</v>
          </cell>
        </row>
        <row r="12">
          <cell r="Y12">
            <v>-19188.756999999998</v>
          </cell>
          <cell r="AA12">
            <v>-4415.181999999997</v>
          </cell>
        </row>
        <row r="13">
          <cell r="Y13">
            <v>0</v>
          </cell>
          <cell r="AA13">
            <v>0</v>
          </cell>
        </row>
        <row r="14">
          <cell r="AA14">
            <v>0</v>
          </cell>
        </row>
        <row r="22">
          <cell r="Y22">
            <v>0.508</v>
          </cell>
        </row>
        <row r="23">
          <cell r="Y23">
            <v>0</v>
          </cell>
        </row>
        <row r="27">
          <cell r="Y27">
            <v>7.558</v>
          </cell>
          <cell r="AA27">
            <v>42.392</v>
          </cell>
        </row>
        <row r="28">
          <cell r="Y28">
            <v>269.278</v>
          </cell>
        </row>
        <row r="30">
          <cell r="Y30">
            <v>1144.9190000000008</v>
          </cell>
          <cell r="AA30">
            <v>-636.9242999999992</v>
          </cell>
        </row>
        <row r="41">
          <cell r="Y41">
            <v>13392.647000000003</v>
          </cell>
          <cell r="AA41">
            <v>-1548.056999999997</v>
          </cell>
        </row>
        <row r="45">
          <cell r="Y45">
            <v>166.9</v>
          </cell>
          <cell r="AA45">
            <v>-156.64700000000002</v>
          </cell>
        </row>
        <row r="46">
          <cell r="Y46">
            <v>747.492</v>
          </cell>
          <cell r="AA46">
            <v>368.55899999999997</v>
          </cell>
        </row>
        <row r="47">
          <cell r="Y47">
            <v>113.095</v>
          </cell>
          <cell r="AA47">
            <v>32.461</v>
          </cell>
        </row>
        <row r="50">
          <cell r="Y50">
            <v>0</v>
          </cell>
          <cell r="AA50">
            <v>0</v>
          </cell>
        </row>
        <row r="51">
          <cell r="Y51">
            <v>0</v>
          </cell>
          <cell r="AA51">
            <v>0</v>
          </cell>
        </row>
        <row r="52">
          <cell r="Y52">
            <v>0</v>
          </cell>
          <cell r="AA52">
            <v>0</v>
          </cell>
        </row>
        <row r="55">
          <cell r="Y55">
            <v>1413.3999999999999</v>
          </cell>
          <cell r="AA55">
            <v>-5748.207</v>
          </cell>
        </row>
        <row r="57">
          <cell r="Y57">
            <v>0</v>
          </cell>
          <cell r="AA57">
            <v>0</v>
          </cell>
        </row>
        <row r="58">
          <cell r="Y58">
            <v>1623.248</v>
          </cell>
          <cell r="AA58">
            <v>287.03700000000003</v>
          </cell>
        </row>
        <row r="65">
          <cell r="U65">
            <v>0</v>
          </cell>
        </row>
        <row r="69">
          <cell r="Y69">
            <v>-592.2</v>
          </cell>
          <cell r="AA69">
            <v>-592.2</v>
          </cell>
        </row>
        <row r="73">
          <cell r="Y73">
            <v>-4484.873</v>
          </cell>
          <cell r="AA73">
            <v>-922.3399999999997</v>
          </cell>
        </row>
        <row r="78">
          <cell r="Y78">
            <v>-8622.972</v>
          </cell>
          <cell r="AA78">
            <v>-1706.817</v>
          </cell>
        </row>
        <row r="89">
          <cell r="U89">
            <v>10065.864</v>
          </cell>
        </row>
      </sheetData>
      <sheetData sheetId="14">
        <row r="8">
          <cell r="Z8">
            <v>50015.4929</v>
          </cell>
        </row>
        <row r="10">
          <cell r="Z10">
            <v>2894.8</v>
          </cell>
        </row>
        <row r="12">
          <cell r="Z12">
            <v>3017.73</v>
          </cell>
        </row>
        <row r="18">
          <cell r="Z18">
            <v>3.979039320256561E-13</v>
          </cell>
        </row>
        <row r="19">
          <cell r="Z19">
            <v>8745.945</v>
          </cell>
        </row>
        <row r="25">
          <cell r="Z25">
            <v>0</v>
          </cell>
        </row>
        <row r="28">
          <cell r="Z28">
            <v>27737.099</v>
          </cell>
        </row>
        <row r="29">
          <cell r="Z29">
            <v>44875.30099999999</v>
          </cell>
        </row>
        <row r="30">
          <cell r="Z30">
            <v>90.86600000000001</v>
          </cell>
        </row>
        <row r="31">
          <cell r="Z31">
            <v>4906.878</v>
          </cell>
        </row>
        <row r="32">
          <cell r="Z32">
            <v>1147.926</v>
          </cell>
        </row>
        <row r="35">
          <cell r="Z35">
            <v>0</v>
          </cell>
        </row>
        <row r="38">
          <cell r="Z38">
            <v>13460.303</v>
          </cell>
        </row>
        <row r="39">
          <cell r="Z39">
            <v>8409.704</v>
          </cell>
        </row>
        <row r="45">
          <cell r="Z45">
            <v>12168.437999999998</v>
          </cell>
        </row>
        <row r="46">
          <cell r="Z46">
            <v>16019.74</v>
          </cell>
        </row>
        <row r="48">
          <cell r="Z48">
            <v>172.461</v>
          </cell>
        </row>
        <row r="53">
          <cell r="Z53">
            <v>2560</v>
          </cell>
        </row>
        <row r="54">
          <cell r="Z54">
            <v>869.97</v>
          </cell>
        </row>
        <row r="56">
          <cell r="Z56">
            <v>481.212</v>
          </cell>
        </row>
        <row r="57">
          <cell r="Z57">
            <v>0</v>
          </cell>
        </row>
        <row r="68">
          <cell r="Z68">
            <v>53075.89999999997</v>
          </cell>
        </row>
        <row r="70">
          <cell r="Z70">
            <v>-995.5451000000139</v>
          </cell>
        </row>
        <row r="71">
          <cell r="Z71">
            <v>12032.34999999999</v>
          </cell>
        </row>
        <row r="72">
          <cell r="Z72">
            <v>-118.6126</v>
          </cell>
        </row>
        <row r="73">
          <cell r="Z73">
            <v>3715.075</v>
          </cell>
        </row>
        <row r="75">
          <cell r="Z75">
            <v>376.68899999999985</v>
          </cell>
        </row>
        <row r="76">
          <cell r="Z76">
            <v>582.4426</v>
          </cell>
        </row>
        <row r="77">
          <cell r="Z77">
            <v>622.272</v>
          </cell>
        </row>
        <row r="79">
          <cell r="Z79">
            <v>144</v>
          </cell>
        </row>
        <row r="83">
          <cell r="Z83">
            <v>53797.055</v>
          </cell>
        </row>
        <row r="87">
          <cell r="Z87">
            <v>8456.598</v>
          </cell>
        </row>
        <row r="89">
          <cell r="Z89">
            <v>1342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4">
      <selection activeCell="J10" sqref="J10"/>
    </sheetView>
  </sheetViews>
  <sheetFormatPr defaultColWidth="9.140625" defaultRowHeight="12.75"/>
  <cols>
    <col min="1" max="1" width="30.57421875" style="2" customWidth="1"/>
    <col min="2" max="2" width="11.00390625" style="2" customWidth="1"/>
    <col min="3" max="3" width="2.7109375" style="2" customWidth="1"/>
    <col min="4" max="4" width="11.00390625" style="2" customWidth="1"/>
    <col min="5" max="5" width="3.140625" style="2" customWidth="1"/>
    <col min="6" max="6" width="11.00390625" style="2" customWidth="1"/>
    <col min="7" max="7" width="2.7109375" style="2" customWidth="1"/>
    <col min="8" max="8" width="11.00390625" style="2" customWidth="1"/>
    <col min="9" max="16384" width="8.8515625" style="2" customWidth="1"/>
  </cols>
  <sheetData>
    <row r="1" ht="18.75">
      <c r="A1" s="1" t="s">
        <v>0</v>
      </c>
    </row>
    <row r="3" ht="15.75">
      <c r="A3" s="3" t="s">
        <v>1</v>
      </c>
    </row>
    <row r="4" ht="15.75">
      <c r="A4" s="3" t="s">
        <v>2</v>
      </c>
    </row>
    <row r="7" spans="2:8" ht="12.75">
      <c r="B7" s="80" t="s">
        <v>99</v>
      </c>
      <c r="C7" s="81"/>
      <c r="D7" s="82"/>
      <c r="F7" s="80" t="s">
        <v>3</v>
      </c>
      <c r="G7" s="81"/>
      <c r="H7" s="82"/>
    </row>
    <row r="8" spans="2:8" ht="12.75">
      <c r="B8" s="4">
        <v>2006</v>
      </c>
      <c r="C8" s="5"/>
      <c r="D8" s="4">
        <v>2005</v>
      </c>
      <c r="F8" s="4">
        <v>2006</v>
      </c>
      <c r="G8" s="5"/>
      <c r="H8" s="4">
        <v>2005</v>
      </c>
    </row>
    <row r="9" spans="2:8" ht="12.75">
      <c r="B9" s="6" t="s">
        <v>4</v>
      </c>
      <c r="D9" s="6" t="s">
        <v>4</v>
      </c>
      <c r="F9" s="7" t="s">
        <v>4</v>
      </c>
      <c r="H9" s="7" t="s">
        <v>4</v>
      </c>
    </row>
    <row r="11" spans="1:8" ht="12.75">
      <c r="A11" s="8" t="s">
        <v>5</v>
      </c>
      <c r="B11" s="9">
        <f>ROUND('[1]P&amp;L'!AA7,0)</f>
        <v>51991</v>
      </c>
      <c r="C11" s="10"/>
      <c r="D11" s="9">
        <v>36693</v>
      </c>
      <c r="E11" s="10"/>
      <c r="F11" s="9">
        <f>ROUND('[1]P&amp;L'!Y7,0)</f>
        <v>211228</v>
      </c>
      <c r="G11" s="10"/>
      <c r="H11" s="9">
        <v>155398</v>
      </c>
    </row>
    <row r="12" spans="2:8" ht="12.75">
      <c r="B12" s="11"/>
      <c r="C12" s="10"/>
      <c r="D12" s="11"/>
      <c r="E12" s="10"/>
      <c r="F12" s="11"/>
      <c r="G12" s="10"/>
      <c r="H12" s="11"/>
    </row>
    <row r="13" spans="1:8" ht="12.75">
      <c r="A13" s="2" t="s">
        <v>6</v>
      </c>
      <c r="B13" s="11">
        <f>ROUND('[1]P&amp;L'!AA11+'[1]P&amp;L'!AA12+'[1]P&amp;L'!AA13-1+'[1]P&amp;L'!AA14+'[1]P&amp;L'!AA27-'[1]P&amp;L'!AA41-'[1]P&amp;L'!AA50-'[1]P&amp;L'!AA51-'[1]P&amp;L'!AA52-'[1]P&amp;L'!AA55+'[1]P&amp;L'!AA57+'[1]P&amp;L'!AA69,0)</f>
        <v>-45858</v>
      </c>
      <c r="C13" s="10"/>
      <c r="D13" s="11">
        <v>-31731</v>
      </c>
      <c r="E13" s="10"/>
      <c r="F13" s="11">
        <f>ROUND('[1]P&amp;L'!Y11+'[1]P&amp;L'!Y12+'[1]P&amp;L'!Y13+'[1]P&amp;L'!Y14+'[1]P&amp;L'!Y27-'[1]P&amp;L'!Y41-'[1]P&amp;L'!Y50-'[1]P&amp;L'!Y51-'[1]P&amp;L'!Y52-'[1]P&amp;L'!Y55+'[1]P&amp;L'!Y69+'[1]P&amp;L'!Y57,0)</f>
        <v>-187677</v>
      </c>
      <c r="G13" s="10"/>
      <c r="H13" s="11">
        <f>-121595-10780</f>
        <v>-132375</v>
      </c>
    </row>
    <row r="14" spans="2:8" ht="12.75">
      <c r="B14" s="11"/>
      <c r="C14" s="10"/>
      <c r="D14" s="11"/>
      <c r="E14" s="10"/>
      <c r="F14" s="11"/>
      <c r="G14" s="10"/>
      <c r="H14" s="11"/>
    </row>
    <row r="15" spans="1:8" ht="12.75">
      <c r="A15" s="2" t="s">
        <v>7</v>
      </c>
      <c r="B15" s="11">
        <f>ROUND('[1]P&amp;L'!AA30-'[1]P&amp;L'!AA27,0)</f>
        <v>-679</v>
      </c>
      <c r="C15" s="10"/>
      <c r="D15" s="11">
        <v>3003</v>
      </c>
      <c r="E15" s="10"/>
      <c r="F15" s="11">
        <f>ROUND('[1]P&amp;L'!Y30-'[1]P&amp;L'!Y27,0)</f>
        <v>1137</v>
      </c>
      <c r="G15" s="10"/>
      <c r="H15" s="11">
        <v>5605</v>
      </c>
    </row>
    <row r="16" spans="2:8" ht="12.75">
      <c r="B16" s="11"/>
      <c r="C16" s="10"/>
      <c r="D16" s="12"/>
      <c r="E16" s="10"/>
      <c r="F16" s="12"/>
      <c r="G16" s="10"/>
      <c r="H16" s="12"/>
    </row>
    <row r="17" spans="1:8" ht="12.75">
      <c r="A17" s="8" t="s">
        <v>8</v>
      </c>
      <c r="B17" s="13">
        <f>SUM(B11:B15)</f>
        <v>5454</v>
      </c>
      <c r="C17" s="10"/>
      <c r="D17" s="13">
        <f>SUM(D11:D15)</f>
        <v>7965</v>
      </c>
      <c r="E17" s="10"/>
      <c r="F17" s="13">
        <f>SUM(F11:F15)</f>
        <v>24688</v>
      </c>
      <c r="G17" s="10"/>
      <c r="H17" s="13">
        <f>SUM(H11:H15)</f>
        <v>28628</v>
      </c>
    </row>
    <row r="18" spans="2:8" ht="12.75">
      <c r="B18" s="9"/>
      <c r="C18" s="10"/>
      <c r="D18" s="9"/>
      <c r="E18" s="10"/>
      <c r="F18" s="9"/>
      <c r="G18" s="10"/>
      <c r="H18" s="9"/>
    </row>
    <row r="19" spans="1:8" ht="12.75">
      <c r="A19" s="2" t="s">
        <v>9</v>
      </c>
      <c r="B19" s="11">
        <f>ROUND(-'[1]P&amp;L'!AA45-'[1]P&amp;L'!AA46-'[1]P&amp;L'!AA47,0)</f>
        <v>-244</v>
      </c>
      <c r="C19" s="10"/>
      <c r="D19" s="11">
        <v>-117</v>
      </c>
      <c r="E19" s="10"/>
      <c r="F19" s="11">
        <f>ROUND(-'[1]P&amp;L'!Y45-'[1]P&amp;L'!Y46-'[1]P&amp;L'!Y47,0)</f>
        <v>-1027</v>
      </c>
      <c r="G19" s="10"/>
      <c r="H19" s="11">
        <v>-1780</v>
      </c>
    </row>
    <row r="20" spans="2:8" ht="12.75">
      <c r="B20" s="11"/>
      <c r="C20" s="10"/>
      <c r="D20" s="11"/>
      <c r="E20" s="10"/>
      <c r="F20" s="11"/>
      <c r="G20" s="10"/>
      <c r="H20" s="11"/>
    </row>
    <row r="21" spans="1:8" ht="12.75">
      <c r="A21" s="2" t="s">
        <v>10</v>
      </c>
      <c r="B21" s="11">
        <f>ROUND('[1]P&amp;L'!AA58,0)</f>
        <v>287</v>
      </c>
      <c r="C21" s="10"/>
      <c r="D21" s="11">
        <v>799</v>
      </c>
      <c r="E21" s="10"/>
      <c r="F21" s="11">
        <f>ROUND('[1]P&amp;L'!Y58,0)</f>
        <v>1623</v>
      </c>
      <c r="G21" s="10"/>
      <c r="H21" s="11">
        <v>2369</v>
      </c>
    </row>
    <row r="22" spans="2:8" ht="12.75">
      <c r="B22" s="11"/>
      <c r="C22" s="10"/>
      <c r="D22" s="11"/>
      <c r="E22" s="10"/>
      <c r="F22" s="11"/>
      <c r="G22" s="10"/>
      <c r="H22" s="11"/>
    </row>
    <row r="23" spans="1:8" ht="12.75">
      <c r="A23" s="8" t="s">
        <v>11</v>
      </c>
      <c r="B23" s="13">
        <f>SUM(B17:B21)</f>
        <v>5497</v>
      </c>
      <c r="C23" s="10"/>
      <c r="D23" s="13">
        <f>SUM(D17:D21)</f>
        <v>8647</v>
      </c>
      <c r="E23" s="10"/>
      <c r="F23" s="13">
        <f>SUM(F17:F21)</f>
        <v>25284</v>
      </c>
      <c r="G23" s="10"/>
      <c r="H23" s="13">
        <f>SUM(H17:H21)</f>
        <v>29217</v>
      </c>
    </row>
    <row r="24" spans="1:8" ht="12.75">
      <c r="A24" s="8"/>
      <c r="B24" s="11"/>
      <c r="C24" s="10"/>
      <c r="D24" s="11"/>
      <c r="E24" s="10"/>
      <c r="F24" s="11"/>
      <c r="G24" s="10"/>
      <c r="H24" s="11"/>
    </row>
    <row r="25" spans="1:8" ht="12.75">
      <c r="A25" s="2" t="s">
        <v>12</v>
      </c>
      <c r="B25" s="11">
        <f>ROUND('[1]P&amp;L'!AA73,0)</f>
        <v>-922</v>
      </c>
      <c r="C25" s="10"/>
      <c r="D25" s="11">
        <v>-661</v>
      </c>
      <c r="E25" s="10"/>
      <c r="F25" s="11">
        <f>ROUND(+'[1]P&amp;L'!Y73,0)</f>
        <v>-4485</v>
      </c>
      <c r="G25" s="10"/>
      <c r="H25" s="11">
        <v>-5663</v>
      </c>
    </row>
    <row r="26" spans="2:8" ht="12.75">
      <c r="B26" s="11"/>
      <c r="C26" s="10"/>
      <c r="D26" s="11"/>
      <c r="E26" s="10"/>
      <c r="F26" s="11"/>
      <c r="G26" s="10"/>
      <c r="H26" s="11"/>
    </row>
    <row r="27" spans="1:8" ht="12.75">
      <c r="A27" s="8" t="s">
        <v>13</v>
      </c>
      <c r="B27" s="13">
        <f>SUM(B23:B25)</f>
        <v>4575</v>
      </c>
      <c r="C27" s="10"/>
      <c r="D27" s="13">
        <f>SUM(D23:D25)</f>
        <v>7986</v>
      </c>
      <c r="E27" s="10"/>
      <c r="F27" s="13">
        <f>SUM(F23:F25)</f>
        <v>20799</v>
      </c>
      <c r="G27" s="10"/>
      <c r="H27" s="13">
        <f>SUM(H23:H25)</f>
        <v>23554</v>
      </c>
    </row>
    <row r="28" spans="1:8" ht="12.75">
      <c r="A28" s="8"/>
      <c r="B28" s="11"/>
      <c r="C28" s="10"/>
      <c r="D28" s="11"/>
      <c r="E28" s="10"/>
      <c r="F28" s="11"/>
      <c r="G28" s="10"/>
      <c r="H28" s="11"/>
    </row>
    <row r="29" spans="1:8" ht="12.75">
      <c r="A29" s="2" t="s">
        <v>14</v>
      </c>
      <c r="B29" s="11">
        <f>ROUND('[1]P&amp;L'!AA78,0)</f>
        <v>-1707</v>
      </c>
      <c r="C29" s="10"/>
      <c r="D29" s="11">
        <v>-1826</v>
      </c>
      <c r="E29" s="10"/>
      <c r="F29" s="11">
        <f>ROUND('[1]P&amp;L'!Y78,0)</f>
        <v>-8623</v>
      </c>
      <c r="G29" s="10"/>
      <c r="H29" s="11">
        <v>-8084</v>
      </c>
    </row>
    <row r="30" spans="2:8" ht="12.75">
      <c r="B30" s="11"/>
      <c r="C30" s="10"/>
      <c r="D30" s="11"/>
      <c r="E30" s="10"/>
      <c r="F30" s="11"/>
      <c r="G30" s="10"/>
      <c r="H30" s="11"/>
    </row>
    <row r="31" spans="1:8" ht="13.5" thickBot="1">
      <c r="A31" s="8" t="s">
        <v>15</v>
      </c>
      <c r="B31" s="14">
        <f>SUM(B27:B29)</f>
        <v>2868</v>
      </c>
      <c r="C31" s="10"/>
      <c r="D31" s="14">
        <f>SUM(D27:D29)</f>
        <v>6160</v>
      </c>
      <c r="E31" s="10"/>
      <c r="F31" s="14">
        <f>SUM(F27:F29)</f>
        <v>12176</v>
      </c>
      <c r="G31" s="10"/>
      <c r="H31" s="14">
        <f>SUM(H27:H29)</f>
        <v>15470</v>
      </c>
    </row>
    <row r="32" spans="2:8" ht="13.5" thickTop="1">
      <c r="B32" s="15"/>
      <c r="C32" s="15"/>
      <c r="D32" s="15"/>
      <c r="E32" s="15"/>
      <c r="F32" s="15"/>
      <c r="G32" s="15"/>
      <c r="H32" s="15"/>
    </row>
    <row r="33" spans="1:8" ht="12.75">
      <c r="A33" s="2" t="s">
        <v>16</v>
      </c>
      <c r="B33" s="16">
        <f>+'[1]EPS'!G18</f>
        <v>5.41</v>
      </c>
      <c r="C33" s="15"/>
      <c r="D33" s="16">
        <v>11.62</v>
      </c>
      <c r="E33" s="15"/>
      <c r="F33" s="16">
        <f>+'[1]EPS'!G20</f>
        <v>22.95</v>
      </c>
      <c r="G33" s="15"/>
      <c r="H33" s="16">
        <v>29.15</v>
      </c>
    </row>
    <row r="34" spans="2:8" ht="12.75">
      <c r="B34" s="17"/>
      <c r="C34" s="15"/>
      <c r="D34" s="17"/>
      <c r="E34" s="15"/>
      <c r="F34" s="17"/>
      <c r="G34" s="15"/>
      <c r="H34" s="17"/>
    </row>
    <row r="35" spans="1:8" ht="12.75">
      <c r="A35" s="2" t="s">
        <v>17</v>
      </c>
      <c r="B35" s="16">
        <f>'[1]Fully diluted'!I24</f>
        <v>5.403527576633968</v>
      </c>
      <c r="C35" s="15"/>
      <c r="D35" s="16">
        <v>9.26</v>
      </c>
      <c r="E35" s="15"/>
      <c r="F35" s="16">
        <f>'[1]Fully diluted'!K24</f>
        <v>22.940505149399094</v>
      </c>
      <c r="G35" s="15"/>
      <c r="H35" s="16">
        <v>24.07</v>
      </c>
    </row>
  </sheetData>
  <mergeCells count="2">
    <mergeCell ref="B7:D7"/>
    <mergeCell ref="F7:H7"/>
  </mergeCells>
  <printOptions/>
  <pageMargins left="0.75" right="0.75" top="1" bottom="1" header="0.5" footer="0.5"/>
  <pageSetup horizontalDpi="600" verticalDpi="600" orientation="portrait" r:id="rId2"/>
  <headerFooter alignWithMargins="0">
    <oddHeader>&amp;RDRAFT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6">
      <selection activeCell="F41" sqref="F41:F48"/>
    </sheetView>
  </sheetViews>
  <sheetFormatPr defaultColWidth="9.140625" defaultRowHeight="12.75"/>
  <cols>
    <col min="1" max="1" width="36.28125" style="2" customWidth="1"/>
    <col min="2" max="2" width="9.8515625" style="2" customWidth="1"/>
    <col min="3" max="3" width="3.8515625" style="2" customWidth="1"/>
    <col min="4" max="4" width="15.57421875" style="2" customWidth="1"/>
    <col min="5" max="5" width="3.28125" style="2" customWidth="1"/>
    <col min="6" max="6" width="15.57421875" style="2" customWidth="1"/>
    <col min="7" max="16384" width="8.8515625" style="2" customWidth="1"/>
  </cols>
  <sheetData>
    <row r="1" ht="18.75">
      <c r="A1" s="1" t="s">
        <v>0</v>
      </c>
    </row>
    <row r="3" spans="1:3" ht="15.75">
      <c r="A3" s="3" t="s">
        <v>18</v>
      </c>
      <c r="B3" s="8"/>
      <c r="C3" s="8"/>
    </row>
    <row r="4" spans="1:3" ht="15.75">
      <c r="A4" s="3" t="s">
        <v>100</v>
      </c>
      <c r="B4" s="8"/>
      <c r="C4" s="8"/>
    </row>
    <row r="6" spans="4:6" ht="12.75">
      <c r="D6" s="18" t="s">
        <v>19</v>
      </c>
      <c r="E6" s="19"/>
      <c r="F6" s="18" t="s">
        <v>20</v>
      </c>
    </row>
    <row r="7" spans="4:6" ht="12.75">
      <c r="D7" s="20" t="s">
        <v>21</v>
      </c>
      <c r="E7" s="19"/>
      <c r="F7" s="20" t="s">
        <v>22</v>
      </c>
    </row>
    <row r="8" spans="4:6" ht="12.75">
      <c r="D8" s="20" t="s">
        <v>23</v>
      </c>
      <c r="E8" s="19"/>
      <c r="F8" s="20" t="s">
        <v>24</v>
      </c>
    </row>
    <row r="9" spans="4:6" ht="12.75">
      <c r="D9" s="21">
        <v>38748</v>
      </c>
      <c r="E9" s="22"/>
      <c r="F9" s="21">
        <v>38383</v>
      </c>
    </row>
    <row r="10" spans="2:6" ht="12.75">
      <c r="B10" s="23"/>
      <c r="D10" s="6" t="s">
        <v>4</v>
      </c>
      <c r="E10" s="19"/>
      <c r="F10" s="6" t="s">
        <v>4</v>
      </c>
    </row>
    <row r="12" spans="1:7" ht="12.75">
      <c r="A12" s="8" t="s">
        <v>25</v>
      </c>
      <c r="B12" s="24"/>
      <c r="C12" s="8"/>
      <c r="D12" s="9">
        <f>ROUND('[1]B. Sheet'!Z8,0)</f>
        <v>50015</v>
      </c>
      <c r="E12" s="10"/>
      <c r="F12" s="9">
        <v>41083</v>
      </c>
      <c r="G12" s="25"/>
    </row>
    <row r="13" spans="4:6" ht="12.75">
      <c r="D13" s="11"/>
      <c r="E13" s="10"/>
      <c r="F13" s="11"/>
    </row>
    <row r="14" spans="1:6" ht="12.75">
      <c r="A14" s="8" t="s">
        <v>26</v>
      </c>
      <c r="D14" s="11">
        <f>ROUND('[1]B. Sheet'!Z12,0)</f>
        <v>3018</v>
      </c>
      <c r="E14" s="10"/>
      <c r="F14" s="11">
        <v>3018</v>
      </c>
    </row>
    <row r="15" spans="4:6" ht="12.75">
      <c r="D15" s="11"/>
      <c r="E15" s="10"/>
      <c r="F15" s="11"/>
    </row>
    <row r="16" spans="1:6" ht="12.75">
      <c r="A16" s="8" t="s">
        <v>27</v>
      </c>
      <c r="D16" s="11">
        <f>ROUND('[1]B. Sheet'!Z19,0)</f>
        <v>8746</v>
      </c>
      <c r="E16" s="10"/>
      <c r="F16" s="11">
        <v>8927</v>
      </c>
    </row>
    <row r="17" spans="4:6" ht="12.75">
      <c r="D17" s="11"/>
      <c r="E17" s="10"/>
      <c r="F17" s="11"/>
    </row>
    <row r="18" spans="1:6" ht="12.75">
      <c r="A18" s="8" t="s">
        <v>28</v>
      </c>
      <c r="D18" s="11">
        <f>ROUND('[1]B. Sheet'!Z10,0)</f>
        <v>2895</v>
      </c>
      <c r="E18" s="10"/>
      <c r="F18" s="11">
        <v>3487</v>
      </c>
    </row>
    <row r="19" spans="1:6" ht="12.75">
      <c r="A19" s="8"/>
      <c r="D19" s="11"/>
      <c r="E19" s="10"/>
      <c r="F19" s="11"/>
    </row>
    <row r="20" spans="1:6" ht="12.75">
      <c r="A20" s="8" t="s">
        <v>29</v>
      </c>
      <c r="D20" s="11">
        <f>ROUND('[1]B. Sheet'!Z25,0)</f>
        <v>0</v>
      </c>
      <c r="E20" s="10"/>
      <c r="F20" s="11">
        <v>0</v>
      </c>
    </row>
    <row r="21" spans="4:6" ht="12.75">
      <c r="D21" s="13">
        <f>SUM(D12:D20)</f>
        <v>64674</v>
      </c>
      <c r="E21" s="10"/>
      <c r="F21" s="13">
        <f>SUM(F12:F20)</f>
        <v>56515</v>
      </c>
    </row>
    <row r="22" spans="4:6" ht="12.75">
      <c r="D22" s="10"/>
      <c r="E22" s="10"/>
      <c r="F22" s="10"/>
    </row>
    <row r="23" spans="1:6" ht="12.75">
      <c r="A23" s="8" t="s">
        <v>30</v>
      </c>
      <c r="D23" s="10"/>
      <c r="E23" s="10"/>
      <c r="F23" s="10"/>
    </row>
    <row r="24" spans="1:6" ht="12.75">
      <c r="A24" s="26" t="s">
        <v>31</v>
      </c>
      <c r="B24" s="26"/>
      <c r="C24" s="26"/>
      <c r="D24" s="27">
        <f>ROUND('[1]B. Sheet'!Z28,0)</f>
        <v>27737</v>
      </c>
      <c r="E24" s="10"/>
      <c r="F24" s="9">
        <f>25419</f>
        <v>25419</v>
      </c>
    </row>
    <row r="25" spans="1:6" ht="12.75">
      <c r="A25" s="26" t="s">
        <v>32</v>
      </c>
      <c r="B25" s="26"/>
      <c r="C25" s="26"/>
      <c r="D25" s="28">
        <f>ROUND('[1]B. Sheet'!Z29+'[1]B. Sheet'!Z30+'[1]B. Sheet'!Z31+'[1]B. Sheet'!Z35,0)+'[1]B. Sheet'!Z18</f>
        <v>49873</v>
      </c>
      <c r="E25" s="10"/>
      <c r="F25" s="11">
        <f>35227+1507</f>
        <v>36734</v>
      </c>
    </row>
    <row r="26" spans="1:6" ht="12.75">
      <c r="A26" s="26" t="s">
        <v>33</v>
      </c>
      <c r="B26" s="26"/>
      <c r="C26" s="26"/>
      <c r="D26" s="11">
        <f>ROUND('[1]B. Sheet'!Z32,0)</f>
        <v>1148</v>
      </c>
      <c r="E26" s="10"/>
      <c r="F26" s="11">
        <v>385</v>
      </c>
    </row>
    <row r="27" spans="1:6" ht="12.75">
      <c r="A27" s="26" t="s">
        <v>34</v>
      </c>
      <c r="B27" s="26"/>
      <c r="C27" s="26"/>
      <c r="D27" s="11">
        <f>ROUND('[1]B. Sheet'!Z38+'[1]B. Sheet'!Z39,0)</f>
        <v>21870</v>
      </c>
      <c r="E27" s="10"/>
      <c r="F27" s="11">
        <f>16561-50</f>
        <v>16511</v>
      </c>
    </row>
    <row r="28" spans="1:6" ht="12.75">
      <c r="A28" s="26"/>
      <c r="B28" s="26"/>
      <c r="C28" s="26"/>
      <c r="D28" s="13">
        <f>SUM(D24:D27)</f>
        <v>100628</v>
      </c>
      <c r="E28" s="10"/>
      <c r="F28" s="13">
        <f>SUM(F24:F27)</f>
        <v>79049</v>
      </c>
    </row>
    <row r="29" spans="4:6" ht="12.75">
      <c r="D29" s="10"/>
      <c r="E29" s="10"/>
      <c r="F29" s="10"/>
    </row>
    <row r="30" spans="1:6" ht="12.75">
      <c r="A30" s="8" t="s">
        <v>35</v>
      </c>
      <c r="D30" s="10"/>
      <c r="E30" s="10"/>
      <c r="F30" s="10"/>
    </row>
    <row r="31" spans="1:6" ht="12.75">
      <c r="A31" s="26" t="s">
        <v>36</v>
      </c>
      <c r="D31" s="27">
        <f>ROUND('[1]B. Sheet'!Z45+'[1]B. Sheet'!Z46+'[1]B. Sheet'!Z48+'[1]B. Sheet'!Z57,0)</f>
        <v>28361</v>
      </c>
      <c r="E31" s="10"/>
      <c r="F31" s="27">
        <v>19199</v>
      </c>
    </row>
    <row r="32" spans="1:6" ht="12.75">
      <c r="A32" s="26" t="s">
        <v>37</v>
      </c>
      <c r="B32" s="24"/>
      <c r="C32" s="26"/>
      <c r="D32" s="28">
        <f>ROUND('[1]B. Sheet'!Z53+'[1]B. Sheet'!Z54,0)</f>
        <v>3430</v>
      </c>
      <c r="E32" s="10"/>
      <c r="F32" s="28">
        <v>8529</v>
      </c>
    </row>
    <row r="33" spans="1:6" ht="12.75" hidden="1">
      <c r="A33" s="26" t="s">
        <v>38</v>
      </c>
      <c r="B33" s="24"/>
      <c r="C33" s="26"/>
      <c r="D33" s="28">
        <v>0</v>
      </c>
      <c r="E33" s="10"/>
      <c r="F33" s="28">
        <v>0</v>
      </c>
    </row>
    <row r="34" spans="1:6" ht="12.75">
      <c r="A34" s="26" t="s">
        <v>12</v>
      </c>
      <c r="B34" s="26"/>
      <c r="C34" s="26"/>
      <c r="D34" s="29">
        <f>ROUND('[1]B. Sheet'!Z56,0)</f>
        <v>481</v>
      </c>
      <c r="E34" s="10"/>
      <c r="F34" s="29">
        <v>1349</v>
      </c>
    </row>
    <row r="35" spans="1:6" ht="12.75">
      <c r="A35" s="26"/>
      <c r="B35" s="26"/>
      <c r="C35" s="26"/>
      <c r="D35" s="13">
        <f>SUM(D31:D34)</f>
        <v>32272</v>
      </c>
      <c r="E35" s="10"/>
      <c r="F35" s="13">
        <f>SUM(F31:F34)</f>
        <v>29077</v>
      </c>
    </row>
    <row r="36" spans="1:6" ht="12.75">
      <c r="A36" s="26"/>
      <c r="B36" s="26"/>
      <c r="C36" s="26"/>
      <c r="D36" s="30"/>
      <c r="E36" s="10"/>
      <c r="F36" s="30"/>
    </row>
    <row r="37" spans="1:6" ht="12.75">
      <c r="A37" s="8" t="s">
        <v>39</v>
      </c>
      <c r="D37" s="10">
        <f>D28-D35</f>
        <v>68356</v>
      </c>
      <c r="E37" s="10"/>
      <c r="F37" s="10">
        <f>F28-F35</f>
        <v>49972</v>
      </c>
    </row>
    <row r="38" spans="1:6" ht="12.75">
      <c r="A38" s="8"/>
      <c r="D38" s="10"/>
      <c r="E38" s="10"/>
      <c r="F38" s="10"/>
    </row>
    <row r="39" spans="1:6" ht="13.5" thickBot="1">
      <c r="A39" s="25"/>
      <c r="B39" s="25"/>
      <c r="C39" s="25"/>
      <c r="D39" s="31">
        <f>+D21+D37</f>
        <v>133030</v>
      </c>
      <c r="E39" s="32"/>
      <c r="F39" s="31">
        <f>F37+F21</f>
        <v>106487</v>
      </c>
    </row>
    <row r="40" spans="4:6" ht="13.5" thickTop="1">
      <c r="D40" s="10"/>
      <c r="E40" s="10"/>
      <c r="F40" s="10"/>
    </row>
    <row r="41" spans="4:6" ht="12.75">
      <c r="D41" s="10"/>
      <c r="E41" s="10"/>
      <c r="F41" s="10"/>
    </row>
    <row r="42" spans="1:6" ht="12.75">
      <c r="A42" s="8" t="s">
        <v>40</v>
      </c>
      <c r="D42" s="30">
        <f>ROUND('[1]B. Sheet'!Z68,0)</f>
        <v>53076</v>
      </c>
      <c r="E42" s="30"/>
      <c r="F42" s="30">
        <v>53020</v>
      </c>
    </row>
    <row r="43" spans="1:6" ht="12.75">
      <c r="A43" s="8" t="s">
        <v>41</v>
      </c>
      <c r="D43" s="33">
        <f>ROUND('[1]B. Sheet'!Z70+'[1]B. Sheet'!Z71-1+'[1]B. Sheet'!Z72+'[1]B. Sheet'!Z73+'[1]B. Sheet'!Z75+'[1]B. Sheet'!Z76+'[1]B. Sheet'!Z77+'[1]B. Sheet'!Z79,0)</f>
        <v>16358</v>
      </c>
      <c r="E43" s="30"/>
      <c r="F43" s="33">
        <f>4075-12</f>
        <v>4063</v>
      </c>
    </row>
    <row r="44" spans="1:6" ht="12.75">
      <c r="A44" s="8" t="s">
        <v>42</v>
      </c>
      <c r="B44" s="26"/>
      <c r="C44" s="26"/>
      <c r="D44" s="10">
        <f>SUM(D42:D43)</f>
        <v>69434</v>
      </c>
      <c r="E44" s="10"/>
      <c r="F44" s="10">
        <f>SUM(F42:F43)</f>
        <v>57083</v>
      </c>
    </row>
    <row r="45" spans="1:6" ht="12.75">
      <c r="A45" s="8" t="s">
        <v>43</v>
      </c>
      <c r="D45" s="10">
        <f>ROUND('[1]B. Sheet'!Z83,0)</f>
        <v>53797</v>
      </c>
      <c r="E45" s="10"/>
      <c r="F45" s="10">
        <v>45172</v>
      </c>
    </row>
    <row r="46" spans="1:6" ht="12.75">
      <c r="A46" s="8" t="s">
        <v>44</v>
      </c>
      <c r="D46" s="10"/>
      <c r="E46" s="10"/>
      <c r="F46" s="10"/>
    </row>
    <row r="47" spans="1:6" ht="12.75">
      <c r="A47" s="26" t="s">
        <v>37</v>
      </c>
      <c r="B47" s="24"/>
      <c r="D47" s="10">
        <f>ROUND('[1]B. Sheet'!Z87,0)</f>
        <v>8457</v>
      </c>
      <c r="E47" s="10"/>
      <c r="F47" s="10">
        <v>3017</v>
      </c>
    </row>
    <row r="48" spans="1:6" ht="12.75">
      <c r="A48" s="26" t="s">
        <v>45</v>
      </c>
      <c r="D48" s="10">
        <f>ROUND('[1]B. Sheet'!Z89,0)</f>
        <v>1342</v>
      </c>
      <c r="E48" s="10"/>
      <c r="F48" s="10">
        <v>1215</v>
      </c>
    </row>
    <row r="49" spans="4:6" ht="13.5" thickBot="1">
      <c r="D49" s="31">
        <f>SUM(D44:D48)</f>
        <v>133030</v>
      </c>
      <c r="E49" s="32"/>
      <c r="F49" s="31">
        <f>SUM(F44:F48)</f>
        <v>106487</v>
      </c>
    </row>
    <row r="50" spans="4:6" ht="13.5" thickTop="1">
      <c r="D50" s="15"/>
      <c r="E50" s="15"/>
      <c r="F50" s="10"/>
    </row>
    <row r="51" spans="4:6" ht="12.75">
      <c r="D51" s="15"/>
      <c r="E51" s="15"/>
      <c r="F51" s="10"/>
    </row>
    <row r="52" spans="4:6" ht="12.75">
      <c r="D52" s="15"/>
      <c r="E52" s="15"/>
      <c r="F52" s="10"/>
    </row>
    <row r="53" spans="4:6" ht="12.75">
      <c r="D53" s="15"/>
      <c r="E53" s="15"/>
      <c r="F53" s="10"/>
    </row>
    <row r="54" spans="4:6" ht="12.75">
      <c r="D54" s="15"/>
      <c r="E54" s="15"/>
      <c r="F54" s="10"/>
    </row>
    <row r="55" spans="4:6" ht="12.75">
      <c r="D55" s="15"/>
      <c r="E55" s="15"/>
      <c r="F55" s="10"/>
    </row>
  </sheetData>
  <printOptions horizontalCentered="1"/>
  <pageMargins left="0.75" right="0.75" top="0.55" bottom="0.4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7"/>
  <sheetViews>
    <sheetView workbookViewId="0" topLeftCell="A12">
      <selection activeCell="G9" sqref="G9"/>
    </sheetView>
  </sheetViews>
  <sheetFormatPr defaultColWidth="9.140625" defaultRowHeight="12.75"/>
  <cols>
    <col min="1" max="1" width="2.00390625" style="2" customWidth="1"/>
    <col min="2" max="2" width="41.7109375" style="2" customWidth="1"/>
    <col min="3" max="9" width="12.00390625" style="2" customWidth="1"/>
    <col min="10" max="16384" width="8.8515625" style="2" customWidth="1"/>
  </cols>
  <sheetData>
    <row r="1" ht="18.75">
      <c r="B1" s="1" t="s">
        <v>0</v>
      </c>
    </row>
    <row r="3" spans="2:11" ht="12.75">
      <c r="B3" s="58" t="s">
        <v>84</v>
      </c>
      <c r="K3" s="34"/>
    </row>
    <row r="4" spans="2:11" ht="12.75">
      <c r="B4" s="58" t="str">
        <f>+'[1]cf'!A4</f>
        <v>for the 12 months ended 31 January 2006</v>
      </c>
      <c r="K4" s="34"/>
    </row>
    <row r="5" ht="12.75">
      <c r="K5" s="34"/>
    </row>
    <row r="6" spans="3:11" ht="38.25">
      <c r="C6" s="83" t="s">
        <v>40</v>
      </c>
      <c r="D6" s="83" t="s">
        <v>85</v>
      </c>
      <c r="E6" s="83" t="s">
        <v>86</v>
      </c>
      <c r="F6" s="83" t="s">
        <v>87</v>
      </c>
      <c r="G6" s="83" t="s">
        <v>88</v>
      </c>
      <c r="H6" s="83" t="s">
        <v>109</v>
      </c>
      <c r="I6" s="59" t="s">
        <v>89</v>
      </c>
      <c r="K6" s="34"/>
    </row>
    <row r="7" spans="3:11" ht="12.75">
      <c r="C7" s="59" t="s">
        <v>90</v>
      </c>
      <c r="D7" s="59" t="s">
        <v>90</v>
      </c>
      <c r="E7" s="59" t="s">
        <v>90</v>
      </c>
      <c r="F7" s="59" t="s">
        <v>90</v>
      </c>
      <c r="G7" s="59" t="s">
        <v>90</v>
      </c>
      <c r="H7" s="59" t="s">
        <v>90</v>
      </c>
      <c r="I7" s="59" t="s">
        <v>90</v>
      </c>
      <c r="K7" s="34"/>
    </row>
    <row r="8" spans="3:11" ht="12.75">
      <c r="C8" s="60"/>
      <c r="D8" s="60"/>
      <c r="E8" s="60"/>
      <c r="F8" s="60"/>
      <c r="G8" s="60"/>
      <c r="H8" s="60"/>
      <c r="I8" s="60"/>
      <c r="K8" s="34"/>
    </row>
    <row r="9" spans="3:11" ht="12.75">
      <c r="C9" s="34"/>
      <c r="D9" s="34"/>
      <c r="E9" s="34"/>
      <c r="F9" s="34"/>
      <c r="G9" s="34"/>
      <c r="H9" s="34"/>
      <c r="I9" s="34"/>
      <c r="K9" s="34"/>
    </row>
    <row r="10" spans="2:11" ht="12.75">
      <c r="B10" s="61" t="s">
        <v>106</v>
      </c>
      <c r="C10" s="34"/>
      <c r="D10" s="34"/>
      <c r="E10" s="34"/>
      <c r="F10" s="34"/>
      <c r="G10" s="34"/>
      <c r="H10" s="34"/>
      <c r="I10" s="34"/>
      <c r="K10" s="34"/>
    </row>
    <row r="11" spans="3:11" ht="12.75">
      <c r="C11" s="34"/>
      <c r="D11" s="34"/>
      <c r="E11" s="34"/>
      <c r="F11" s="34"/>
      <c r="G11" s="34"/>
      <c r="H11" s="34"/>
      <c r="I11" s="34"/>
      <c r="K11" s="34"/>
    </row>
    <row r="12" spans="2:11" ht="12.75">
      <c r="B12" s="2" t="s">
        <v>91</v>
      </c>
      <c r="C12" s="30">
        <f>'[1]det equity'!D23</f>
        <v>53020</v>
      </c>
      <c r="D12" s="30">
        <f>+'[1]det equity'!E23</f>
        <v>3704</v>
      </c>
      <c r="E12" s="30">
        <f>+'[1]det equity'!F23</f>
        <v>377</v>
      </c>
      <c r="F12" s="30">
        <f>+'[1]det equity'!G23</f>
        <v>464</v>
      </c>
      <c r="G12" s="30">
        <f>+'[1]det equity'!H23</f>
        <v>515</v>
      </c>
      <c r="H12" s="30">
        <f>+'[1]det equity'!I23</f>
        <v>-996.9</v>
      </c>
      <c r="I12" s="62">
        <f>SUM(C12:H12)</f>
        <v>57083.1</v>
      </c>
      <c r="K12" s="34"/>
    </row>
    <row r="13" spans="3:11" ht="12.75">
      <c r="C13" s="30"/>
      <c r="D13" s="30"/>
      <c r="E13" s="30"/>
      <c r="F13" s="30"/>
      <c r="G13" s="30"/>
      <c r="H13" s="30"/>
      <c r="I13" s="62"/>
      <c r="K13" s="34"/>
    </row>
    <row r="14" spans="2:11" ht="12.75">
      <c r="B14" s="2" t="s">
        <v>92</v>
      </c>
      <c r="C14" s="62">
        <v>55.9</v>
      </c>
      <c r="D14" s="62">
        <v>11</v>
      </c>
      <c r="E14" s="62"/>
      <c r="F14" s="62"/>
      <c r="G14" s="62"/>
      <c r="H14" s="62"/>
      <c r="I14" s="30">
        <f>SUM(C14:H14)</f>
        <v>66.9</v>
      </c>
      <c r="K14" s="34"/>
    </row>
    <row r="15" spans="2:11" ht="12.75">
      <c r="B15" s="2" t="str">
        <f>'[1]det equity'!A26</f>
        <v>Transfer from retained profit to capital reverse</v>
      </c>
      <c r="C15" s="62"/>
      <c r="D15" s="62"/>
      <c r="E15" s="62"/>
      <c r="F15" s="62">
        <v>119</v>
      </c>
      <c r="G15" s="62"/>
      <c r="H15" s="62">
        <v>-119</v>
      </c>
      <c r="I15" s="30">
        <f>SUM(C15:H15)</f>
        <v>0</v>
      </c>
      <c r="K15" s="34"/>
    </row>
    <row r="16" spans="2:11" ht="12.75">
      <c r="B16" s="2" t="s">
        <v>93</v>
      </c>
      <c r="C16" s="62"/>
      <c r="D16" s="62"/>
      <c r="E16" s="62"/>
      <c r="F16" s="62"/>
      <c r="G16" s="62">
        <f>'[1]det equity'!H27</f>
        <v>108</v>
      </c>
      <c r="H16" s="62"/>
      <c r="I16" s="30">
        <f>SUM(C16:H16)</f>
        <v>108</v>
      </c>
      <c r="K16" s="34"/>
    </row>
    <row r="17" spans="2:11" ht="12.75">
      <c r="B17" s="2" t="s">
        <v>94</v>
      </c>
      <c r="C17" s="62"/>
      <c r="D17" s="62"/>
      <c r="E17" s="62"/>
      <c r="F17" s="62"/>
      <c r="G17" s="62"/>
      <c r="H17" s="30">
        <f>+'[1]det equity'!I29</f>
        <v>12176</v>
      </c>
      <c r="I17" s="30">
        <f>SUM(C17:H17)</f>
        <v>12176</v>
      </c>
      <c r="K17" s="34"/>
    </row>
    <row r="18" spans="3:11" ht="12.75">
      <c r="C18" s="34"/>
      <c r="D18" s="34"/>
      <c r="E18" s="34"/>
      <c r="F18" s="34"/>
      <c r="G18" s="34"/>
      <c r="H18" s="34"/>
      <c r="I18" s="34"/>
      <c r="K18" s="34"/>
    </row>
    <row r="19" spans="2:10" ht="13.5" thickBot="1">
      <c r="B19" s="2" t="s">
        <v>95</v>
      </c>
      <c r="C19" s="63">
        <f aca="true" t="shared" si="0" ref="C19:I19">SUM(C12:C18)</f>
        <v>53075.9</v>
      </c>
      <c r="D19" s="63">
        <f t="shared" si="0"/>
        <v>3715</v>
      </c>
      <c r="E19" s="63">
        <f t="shared" si="0"/>
        <v>377</v>
      </c>
      <c r="F19" s="63">
        <f t="shared" si="0"/>
        <v>583</v>
      </c>
      <c r="G19" s="63">
        <f t="shared" si="0"/>
        <v>623</v>
      </c>
      <c r="H19" s="63">
        <f t="shared" si="0"/>
        <v>11060.1</v>
      </c>
      <c r="I19" s="63">
        <f t="shared" si="0"/>
        <v>69434</v>
      </c>
      <c r="J19" s="30"/>
    </row>
    <row r="20" spans="3:11" ht="13.5" thickTop="1">
      <c r="C20" s="34"/>
      <c r="D20" s="34"/>
      <c r="E20" s="34"/>
      <c r="F20" s="34"/>
      <c r="G20" s="34"/>
      <c r="H20" s="34"/>
      <c r="I20" s="34"/>
      <c r="K20" s="34"/>
    </row>
    <row r="21" spans="2:11" ht="12.75">
      <c r="B21" s="61" t="s">
        <v>107</v>
      </c>
      <c r="C21" s="34"/>
      <c r="D21" s="34"/>
      <c r="E21" s="34"/>
      <c r="F21" s="34"/>
      <c r="G21" s="34"/>
      <c r="H21" s="34"/>
      <c r="I21" s="34"/>
      <c r="K21" s="34"/>
    </row>
    <row r="22" spans="3:11" ht="12.75">
      <c r="C22" s="34"/>
      <c r="D22" s="34"/>
      <c r="E22" s="34"/>
      <c r="F22" s="34"/>
      <c r="G22" s="34"/>
      <c r="H22" s="34"/>
      <c r="I22" s="34"/>
      <c r="K22" s="34"/>
    </row>
    <row r="23" spans="2:11" ht="12.75">
      <c r="B23" s="2" t="s">
        <v>96</v>
      </c>
      <c r="C23" s="62">
        <f>+'[1]det equity'!D13</f>
        <v>53020</v>
      </c>
      <c r="D23" s="62">
        <f>+'[1]det equity'!E13</f>
        <v>3704</v>
      </c>
      <c r="E23" s="62">
        <f>+'[1]det equity'!F13</f>
        <v>377</v>
      </c>
      <c r="F23" s="62">
        <f>+'[1]det equity'!G13</f>
        <v>353</v>
      </c>
      <c r="G23" s="62">
        <f>+'[1]det equity'!H13</f>
        <v>512</v>
      </c>
      <c r="H23" s="62">
        <f>+'[1]det equity'!I13</f>
        <v>-16356</v>
      </c>
      <c r="I23" s="62">
        <f>SUM(C23:H23)</f>
        <v>41610</v>
      </c>
      <c r="K23" s="34"/>
    </row>
    <row r="24" spans="3:11" ht="12.75">
      <c r="C24" s="62"/>
      <c r="D24" s="62"/>
      <c r="E24" s="62"/>
      <c r="F24" s="62"/>
      <c r="G24" s="62"/>
      <c r="H24" s="62"/>
      <c r="I24" s="62"/>
      <c r="K24" s="34"/>
    </row>
    <row r="25" spans="2:11" ht="12.75">
      <c r="B25" s="2" t="str">
        <f>'[1]det equity'!A15</f>
        <v>Transfer from retained profit to capital reverse</v>
      </c>
      <c r="C25" s="62">
        <f>'[1]det equity'!C15</f>
        <v>0</v>
      </c>
      <c r="D25" s="62">
        <f>'[1]det equity'!D15</f>
        <v>0</v>
      </c>
      <c r="E25" s="62">
        <f>'[1]det equity'!E15</f>
        <v>0</v>
      </c>
      <c r="F25" s="62">
        <v>111</v>
      </c>
      <c r="G25" s="62"/>
      <c r="H25" s="62">
        <v>-111</v>
      </c>
      <c r="I25" s="62">
        <f>SUM(C25:H25)</f>
        <v>0</v>
      </c>
      <c r="K25" s="34"/>
    </row>
    <row r="26" spans="2:11" ht="12.75">
      <c r="B26" s="2" t="str">
        <f>'[1]det equity'!A17</f>
        <v>Currency translation differences</v>
      </c>
      <c r="C26" s="62">
        <f>'[1]det equity'!C17</f>
        <v>0</v>
      </c>
      <c r="D26" s="62">
        <f>'[1]det equity'!D17</f>
        <v>0</v>
      </c>
      <c r="E26" s="62">
        <f>'[1]det equity'!E17</f>
        <v>0</v>
      </c>
      <c r="F26" s="62">
        <f>'[1]det equity'!F17</f>
        <v>0</v>
      </c>
      <c r="G26" s="62">
        <f>'[1]det equity'!H17</f>
        <v>3</v>
      </c>
      <c r="H26" s="62">
        <v>0</v>
      </c>
      <c r="I26" s="62">
        <f>SUM(C26:H26)</f>
        <v>3</v>
      </c>
      <c r="K26" s="34"/>
    </row>
    <row r="27" spans="2:11" ht="12.75">
      <c r="B27" s="2" t="s">
        <v>94</v>
      </c>
      <c r="C27" s="17">
        <f>'[1]det equity'!C19</f>
        <v>0</v>
      </c>
      <c r="D27" s="17">
        <f>'[1]det equity'!D19</f>
        <v>0</v>
      </c>
      <c r="E27" s="17">
        <f>'[1]det equity'!E19</f>
        <v>0</v>
      </c>
      <c r="F27" s="17">
        <f>'[1]det equity'!F19</f>
        <v>0</v>
      </c>
      <c r="G27" s="17">
        <f>'[1]det equity'!G19</f>
        <v>0</v>
      </c>
      <c r="H27" s="30">
        <f>'[1]det equity'!I19</f>
        <v>15470</v>
      </c>
      <c r="I27" s="62">
        <f>SUM(C27:H27)</f>
        <v>15470</v>
      </c>
      <c r="K27" s="34"/>
    </row>
    <row r="28" spans="2:11" ht="12.75" hidden="1">
      <c r="B28" s="2" t="s">
        <v>97</v>
      </c>
      <c r="C28" s="62"/>
      <c r="D28" s="62"/>
      <c r="E28" s="62">
        <f>+'[1]det equity'!F31</f>
        <v>0</v>
      </c>
      <c r="F28" s="62"/>
      <c r="G28" s="62"/>
      <c r="H28" s="62"/>
      <c r="I28" s="62">
        <f>SUM(C28:H28)</f>
        <v>0</v>
      </c>
      <c r="K28" s="34"/>
    </row>
    <row r="29" spans="3:11" ht="12.75">
      <c r="C29" s="62"/>
      <c r="D29" s="62"/>
      <c r="E29" s="62"/>
      <c r="F29" s="62"/>
      <c r="G29" s="62"/>
      <c r="H29" s="62"/>
      <c r="I29" s="62"/>
      <c r="K29" s="34"/>
    </row>
    <row r="30" spans="2:11" ht="13.5" thickBot="1">
      <c r="B30" s="2" t="s">
        <v>98</v>
      </c>
      <c r="C30" s="64">
        <f aca="true" t="shared" si="1" ref="C30:H30">SUM(C23:C28)</f>
        <v>53020</v>
      </c>
      <c r="D30" s="64">
        <f t="shared" si="1"/>
        <v>3704</v>
      </c>
      <c r="E30" s="64">
        <f t="shared" si="1"/>
        <v>377</v>
      </c>
      <c r="F30" s="64">
        <f t="shared" si="1"/>
        <v>464</v>
      </c>
      <c r="G30" s="64">
        <f t="shared" si="1"/>
        <v>515</v>
      </c>
      <c r="H30" s="64">
        <f t="shared" si="1"/>
        <v>-997</v>
      </c>
      <c r="I30" s="64">
        <f>SUM(C30:H30)</f>
        <v>57083</v>
      </c>
      <c r="K30" s="34"/>
    </row>
    <row r="31" spans="2:11" ht="13.5" thickTop="1">
      <c r="B31" s="8"/>
      <c r="C31" s="65"/>
      <c r="D31" s="65"/>
      <c r="E31" s="65"/>
      <c r="F31" s="65"/>
      <c r="G31" s="65"/>
      <c r="H31" s="65"/>
      <c r="I31" s="65"/>
      <c r="K31" s="34"/>
    </row>
    <row r="32" spans="3:11" ht="12.75">
      <c r="C32" s="34"/>
      <c r="D32" s="34"/>
      <c r="E32" s="34"/>
      <c r="F32" s="34"/>
      <c r="G32" s="34"/>
      <c r="H32" s="34"/>
      <c r="I32" s="34"/>
      <c r="K32" s="34"/>
    </row>
    <row r="33" ht="12.75">
      <c r="K33" s="34"/>
    </row>
    <row r="34" ht="12.75">
      <c r="K34" s="34"/>
    </row>
    <row r="35" ht="12.75">
      <c r="K35" s="34"/>
    </row>
    <row r="36" ht="12.75">
      <c r="K36" s="34"/>
    </row>
    <row r="37" ht="12.75">
      <c r="K37" s="34"/>
    </row>
    <row r="38" ht="12.75">
      <c r="K38" s="34"/>
    </row>
    <row r="39" ht="12.75">
      <c r="K39" s="34"/>
    </row>
    <row r="40" ht="12.75">
      <c r="K40" s="34"/>
    </row>
    <row r="41" ht="12.75">
      <c r="K41" s="34"/>
    </row>
    <row r="42" ht="12.75">
      <c r="K42" s="34"/>
    </row>
    <row r="43" ht="12.75">
      <c r="K43" s="34"/>
    </row>
    <row r="44" ht="12.75">
      <c r="K44" s="34"/>
    </row>
    <row r="45" ht="12.75">
      <c r="K45" s="34"/>
    </row>
    <row r="46" ht="12.75">
      <c r="K46" s="34"/>
    </row>
    <row r="47" ht="12.75">
      <c r="K47" s="34"/>
    </row>
  </sheetData>
  <printOptions/>
  <pageMargins left="0.25" right="0.44" top="0.77" bottom="1" header="0.5" footer="0.5"/>
  <pageSetup horizontalDpi="600" verticalDpi="600" orientation="landscape" scale="98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">
      <selection activeCell="C23" sqref="C23"/>
    </sheetView>
  </sheetViews>
  <sheetFormatPr defaultColWidth="9.140625" defaultRowHeight="12.75"/>
  <cols>
    <col min="1" max="1" width="3.00390625" style="2" customWidth="1"/>
    <col min="2" max="2" width="51.00390625" style="2" customWidth="1"/>
    <col min="3" max="3" width="16.57421875" style="71" customWidth="1"/>
    <col min="4" max="4" width="3.140625" style="2" customWidth="1"/>
    <col min="5" max="5" width="16.57421875" style="36" customWidth="1"/>
    <col min="6" max="6" width="5.57421875" style="2" customWidth="1"/>
    <col min="7" max="16384" width="8.8515625" style="2" customWidth="1"/>
  </cols>
  <sheetData>
    <row r="1" ht="18.75">
      <c r="A1" s="1" t="s">
        <v>0</v>
      </c>
    </row>
    <row r="3" spans="1:2" ht="15.75">
      <c r="A3" s="3" t="s">
        <v>46</v>
      </c>
      <c r="B3" s="8"/>
    </row>
    <row r="4" spans="1:2" ht="15.75">
      <c r="A4" s="3" t="s">
        <v>101</v>
      </c>
      <c r="B4" s="8"/>
    </row>
    <row r="5" ht="11.25" customHeight="1"/>
    <row r="6" spans="3:6" ht="12.75">
      <c r="C6" s="72" t="s">
        <v>19</v>
      </c>
      <c r="D6" s="19"/>
      <c r="E6" s="37" t="s">
        <v>19</v>
      </c>
      <c r="F6" s="19"/>
    </row>
    <row r="7" spans="3:6" ht="12.75">
      <c r="C7" s="72" t="s">
        <v>47</v>
      </c>
      <c r="D7" s="19"/>
      <c r="E7" s="37" t="s">
        <v>47</v>
      </c>
      <c r="F7" s="19"/>
    </row>
    <row r="8" spans="3:6" ht="12.75">
      <c r="C8" s="73" t="s">
        <v>48</v>
      </c>
      <c r="D8" s="38"/>
      <c r="E8" s="39" t="s">
        <v>49</v>
      </c>
      <c r="F8" s="38"/>
    </row>
    <row r="9" spans="3:5" ht="12.75">
      <c r="C9" s="72" t="s">
        <v>4</v>
      </c>
      <c r="E9" s="37" t="s">
        <v>4</v>
      </c>
    </row>
    <row r="10" ht="12.75">
      <c r="C10" s="72"/>
    </row>
    <row r="11" spans="1:6" ht="12.75">
      <c r="A11" s="2" t="s">
        <v>50</v>
      </c>
      <c r="C11" s="42">
        <f>'[1]Cond PL'!F23</f>
        <v>25284</v>
      </c>
      <c r="D11" s="41"/>
      <c r="E11" s="40">
        <v>29217</v>
      </c>
      <c r="F11" s="41"/>
    </row>
    <row r="12" spans="3:6" ht="12.75">
      <c r="C12" s="42"/>
      <c r="D12" s="41"/>
      <c r="E12" s="40"/>
      <c r="F12" s="41"/>
    </row>
    <row r="13" spans="1:6" ht="12.75">
      <c r="A13" s="2" t="s">
        <v>51</v>
      </c>
      <c r="C13" s="42"/>
      <c r="D13" s="41"/>
      <c r="E13" s="40"/>
      <c r="F13" s="41"/>
    </row>
    <row r="14" spans="2:6" ht="12.75">
      <c r="B14" s="2" t="s">
        <v>52</v>
      </c>
      <c r="C14" s="42">
        <f>+ROUND('[1]P&amp;L'!U89,0)</f>
        <v>10066</v>
      </c>
      <c r="D14" s="41"/>
      <c r="E14" s="40">
        <v>7955</v>
      </c>
      <c r="F14" s="41"/>
    </row>
    <row r="15" spans="2:7" ht="12.75">
      <c r="B15" s="2" t="s">
        <v>53</v>
      </c>
      <c r="C15" s="42">
        <f>-ROUND('[1]P&amp;L'!Y58,0)</f>
        <v>-1623</v>
      </c>
      <c r="D15" s="43"/>
      <c r="E15" s="40">
        <v>-2369</v>
      </c>
      <c r="F15" s="43"/>
      <c r="G15" s="35"/>
    </row>
    <row r="16" spans="2:6" ht="12.75">
      <c r="B16" s="2" t="s">
        <v>54</v>
      </c>
      <c r="C16" s="42">
        <f>ROUND('[1]P&amp;L'!Y45+'[1]P&amp;L'!Y46+'[1]P&amp;L'!Y47,0)</f>
        <v>1027</v>
      </c>
      <c r="D16" s="41"/>
      <c r="E16" s="40">
        <v>1646</v>
      </c>
      <c r="F16" s="41"/>
    </row>
    <row r="17" spans="2:6" ht="12.75">
      <c r="B17" s="2" t="s">
        <v>55</v>
      </c>
      <c r="C17" s="42">
        <f>-ROUND('[1]P&amp;L'!Y28,0)</f>
        <v>-269</v>
      </c>
      <c r="D17" s="43"/>
      <c r="E17" s="40">
        <v>-715</v>
      </c>
      <c r="F17" s="43"/>
    </row>
    <row r="18" spans="2:6" ht="12.75" hidden="1">
      <c r="B18" s="2" t="s">
        <v>102</v>
      </c>
      <c r="C18" s="42">
        <f>-ROUND('[1]P&amp;L'!U65,0)</f>
        <v>0</v>
      </c>
      <c r="D18" s="43"/>
      <c r="E18" s="40">
        <v>0</v>
      </c>
      <c r="F18" s="43"/>
    </row>
    <row r="19" spans="2:6" ht="12.75" hidden="1">
      <c r="B19" s="2" t="s">
        <v>103</v>
      </c>
      <c r="C19" s="42">
        <f>-'[1]FA'!C25</f>
        <v>0</v>
      </c>
      <c r="D19" s="43"/>
      <c r="E19" s="40">
        <v>0</v>
      </c>
      <c r="F19" s="43"/>
    </row>
    <row r="20" spans="2:6" ht="12.75">
      <c r="B20" s="2" t="s">
        <v>56</v>
      </c>
      <c r="C20" s="42">
        <f>-ROUND('[1]P&amp;L'!Y22+'[1]P&amp;L'!Y23,0)</f>
        <v>-1</v>
      </c>
      <c r="D20" s="43"/>
      <c r="E20" s="44">
        <v>-640</v>
      </c>
      <c r="F20" s="43"/>
    </row>
    <row r="21" spans="2:6" ht="12.75">
      <c r="B21" s="2" t="s">
        <v>57</v>
      </c>
      <c r="C21" s="42">
        <v>0</v>
      </c>
      <c r="D21" s="43"/>
      <c r="E21" s="44">
        <v>-2214</v>
      </c>
      <c r="F21" s="43"/>
    </row>
    <row r="22" spans="2:6" ht="12.75">
      <c r="B22" s="2" t="s">
        <v>58</v>
      </c>
      <c r="C22" s="42">
        <v>592.2</v>
      </c>
      <c r="D22" s="43"/>
      <c r="E22" s="44">
        <v>0</v>
      </c>
      <c r="F22" s="43"/>
    </row>
    <row r="23" spans="2:6" ht="12.75">
      <c r="B23" s="2" t="s">
        <v>108</v>
      </c>
      <c r="C23" s="42">
        <v>-534</v>
      </c>
      <c r="D23" s="43"/>
      <c r="E23" s="44">
        <v>0</v>
      </c>
      <c r="F23" s="43"/>
    </row>
    <row r="24" spans="2:6" ht="12.75">
      <c r="B24" s="2" t="s">
        <v>59</v>
      </c>
      <c r="C24" s="42">
        <v>0</v>
      </c>
      <c r="E24" s="45">
        <v>-178</v>
      </c>
      <c r="F24" s="46"/>
    </row>
    <row r="25" spans="1:6" ht="12.75">
      <c r="A25" s="2" t="s">
        <v>60</v>
      </c>
      <c r="C25" s="47">
        <f>SUM(C11:C24)</f>
        <v>34542.2</v>
      </c>
      <c r="D25" s="46"/>
      <c r="E25" s="44">
        <f>SUM(E11:E24)</f>
        <v>32702</v>
      </c>
      <c r="F25" s="41"/>
    </row>
    <row r="26" spans="1:6" ht="12.75">
      <c r="A26" s="2" t="s">
        <v>61</v>
      </c>
      <c r="C26" s="42"/>
      <c r="D26" s="41"/>
      <c r="E26" s="40"/>
      <c r="F26" s="41"/>
    </row>
    <row r="27" spans="2:6" ht="12.75" customHeight="1">
      <c r="B27" s="2" t="s">
        <v>62</v>
      </c>
      <c r="C27" s="42">
        <f>-15686-17</f>
        <v>-15703</v>
      </c>
      <c r="D27" s="41"/>
      <c r="E27" s="42">
        <f>-7742-1272+1352-2121</f>
        <v>-9783</v>
      </c>
      <c r="F27" s="41"/>
    </row>
    <row r="28" spans="2:6" ht="12.75">
      <c r="B28" s="2" t="s">
        <v>63</v>
      </c>
      <c r="C28" s="42">
        <v>8992</v>
      </c>
      <c r="D28" s="43"/>
      <c r="E28" s="45">
        <v>8147</v>
      </c>
      <c r="F28" s="43"/>
    </row>
    <row r="29" spans="1:6" ht="12.75">
      <c r="A29" s="2" t="s">
        <v>64</v>
      </c>
      <c r="C29" s="47">
        <f>SUM(C25:C28)</f>
        <v>27831.199999999997</v>
      </c>
      <c r="D29" s="46"/>
      <c r="E29" s="44">
        <f>SUM(E25:E28)</f>
        <v>31066</v>
      </c>
      <c r="F29" s="46"/>
    </row>
    <row r="30" spans="3:6" ht="12.75">
      <c r="C30" s="42"/>
      <c r="D30" s="41"/>
      <c r="E30" s="40"/>
      <c r="F30" s="41"/>
    </row>
    <row r="31" spans="2:6" ht="12.75">
      <c r="B31" s="2" t="s">
        <v>65</v>
      </c>
      <c r="C31" s="42">
        <v>-5064</v>
      </c>
      <c r="D31" s="43"/>
      <c r="E31" s="45">
        <v>-5464</v>
      </c>
      <c r="F31" s="43"/>
    </row>
    <row r="32" spans="1:6" ht="12.75">
      <c r="A32" s="2" t="s">
        <v>66</v>
      </c>
      <c r="C32" s="47">
        <f>+C29+C31</f>
        <v>22767.199999999997</v>
      </c>
      <c r="D32" s="46"/>
      <c r="E32" s="44">
        <f>SUM(E29:E31)</f>
        <v>25602</v>
      </c>
      <c r="F32" s="46"/>
    </row>
    <row r="33" spans="3:6" ht="12.75">
      <c r="C33" s="42"/>
      <c r="D33" s="41"/>
      <c r="E33" s="40"/>
      <c r="F33" s="41"/>
    </row>
    <row r="34" spans="1:6" ht="12.75">
      <c r="A34" s="2" t="s">
        <v>67</v>
      </c>
      <c r="C34" s="42"/>
      <c r="D34" s="41"/>
      <c r="E34" s="40"/>
      <c r="F34" s="41"/>
    </row>
    <row r="35" spans="2:6" ht="12.75">
      <c r="B35" s="2" t="s">
        <v>68</v>
      </c>
      <c r="C35" s="42">
        <v>-18998</v>
      </c>
      <c r="D35" s="43"/>
      <c r="E35" s="40">
        <v>-12529</v>
      </c>
      <c r="F35" s="43"/>
    </row>
    <row r="36" spans="2:6" ht="12.75">
      <c r="B36" s="2" t="s">
        <v>69</v>
      </c>
      <c r="C36" s="42">
        <v>1</v>
      </c>
      <c r="D36" s="41"/>
      <c r="E36" s="40">
        <v>1573</v>
      </c>
      <c r="F36" s="41"/>
    </row>
    <row r="37" spans="2:6" ht="12.75">
      <c r="B37" s="2" t="s">
        <v>70</v>
      </c>
      <c r="C37" s="42">
        <v>1770</v>
      </c>
      <c r="D37" s="41"/>
      <c r="E37" s="40">
        <v>1575</v>
      </c>
      <c r="F37" s="41"/>
    </row>
    <row r="38" spans="2:6" ht="12.75">
      <c r="B38" s="2" t="s">
        <v>71</v>
      </c>
      <c r="C38" s="42">
        <v>75</v>
      </c>
      <c r="D38" s="41"/>
      <c r="E38" s="40">
        <v>0</v>
      </c>
      <c r="F38" s="41"/>
    </row>
    <row r="39" spans="2:6" ht="12.75">
      <c r="B39" s="2" t="s">
        <v>72</v>
      </c>
      <c r="C39" s="42">
        <f>-C17</f>
        <v>269</v>
      </c>
      <c r="D39" s="41"/>
      <c r="E39" s="40">
        <f>715</f>
        <v>715</v>
      </c>
      <c r="F39" s="41"/>
    </row>
    <row r="40" spans="2:6" ht="12.75">
      <c r="B40" s="2" t="s">
        <v>73</v>
      </c>
      <c r="C40" s="42">
        <v>0</v>
      </c>
      <c r="D40" s="41"/>
      <c r="E40" s="40">
        <v>4000</v>
      </c>
      <c r="F40" s="41"/>
    </row>
    <row r="41" spans="2:6" ht="12.75">
      <c r="B41" s="2" t="s">
        <v>104</v>
      </c>
      <c r="C41" s="42">
        <v>-20</v>
      </c>
      <c r="D41" s="41"/>
      <c r="E41" s="40">
        <v>0</v>
      </c>
      <c r="F41" s="41"/>
    </row>
    <row r="42" spans="2:6" ht="12.75">
      <c r="B42" s="2" t="s">
        <v>74</v>
      </c>
      <c r="C42" s="42">
        <v>0</v>
      </c>
      <c r="E42" s="40">
        <v>-500</v>
      </c>
      <c r="F42" s="48"/>
    </row>
    <row r="43" spans="3:6" ht="12.75">
      <c r="C43" s="74">
        <f>SUM(C35:C42)</f>
        <v>-16903</v>
      </c>
      <c r="D43" s="48"/>
      <c r="E43" s="49">
        <f>SUM(E35:E42)</f>
        <v>-5166</v>
      </c>
      <c r="F43" s="41"/>
    </row>
    <row r="44" spans="1:6" ht="12.75">
      <c r="A44" s="2" t="s">
        <v>75</v>
      </c>
      <c r="D44" s="50"/>
      <c r="F44" s="50"/>
    </row>
    <row r="45" spans="2:6" ht="12.75">
      <c r="B45" s="2" t="s">
        <v>76</v>
      </c>
      <c r="C45" s="42">
        <f>-C16</f>
        <v>-1027</v>
      </c>
      <c r="D45" s="43"/>
      <c r="E45" s="40">
        <v>-1646</v>
      </c>
      <c r="F45" s="43"/>
    </row>
    <row r="46" spans="2:6" ht="12.75">
      <c r="B46" s="2" t="s">
        <v>77</v>
      </c>
      <c r="C46" s="42">
        <f>55.9+11.46</f>
        <v>67.36</v>
      </c>
      <c r="D46" s="43"/>
      <c r="E46" s="40">
        <v>0</v>
      </c>
      <c r="F46" s="43"/>
    </row>
    <row r="47" spans="2:6" ht="12.75">
      <c r="B47" s="2" t="s">
        <v>78</v>
      </c>
      <c r="C47" s="42">
        <v>-58</v>
      </c>
      <c r="D47" s="43"/>
      <c r="E47" s="40">
        <v>-80</v>
      </c>
      <c r="F47" s="43"/>
    </row>
    <row r="48" spans="2:6" ht="12.75" hidden="1">
      <c r="B48" s="2" t="s">
        <v>105</v>
      </c>
      <c r="C48" s="42">
        <v>0</v>
      </c>
      <c r="D48" s="43"/>
      <c r="E48" s="40">
        <v>0</v>
      </c>
      <c r="F48" s="43"/>
    </row>
    <row r="49" spans="2:6" ht="12.75">
      <c r="B49" s="2" t="s">
        <v>79</v>
      </c>
      <c r="C49" s="42">
        <f>'[1]Cond BS'!D47-'[1]Cond BS'!F47</f>
        <v>5440</v>
      </c>
      <c r="D49" s="43"/>
      <c r="E49" s="40">
        <v>-5939</v>
      </c>
      <c r="F49" s="43"/>
    </row>
    <row r="50" spans="2:6" ht="12.75">
      <c r="B50" s="2" t="s">
        <v>80</v>
      </c>
      <c r="C50" s="42">
        <f>'[1]Cond BS'!D32-'[1]Cond BS'!F32+172</f>
        <v>-4927</v>
      </c>
      <c r="D50" s="43"/>
      <c r="E50" s="40">
        <v>-13500</v>
      </c>
      <c r="F50" s="43"/>
    </row>
    <row r="51" spans="3:6" ht="12.75">
      <c r="C51" s="74">
        <f>SUM(C45:C50)</f>
        <v>-504.6400000000003</v>
      </c>
      <c r="D51" s="48"/>
      <c r="E51" s="49">
        <f>SUM(E45:E50)</f>
        <v>-21165</v>
      </c>
      <c r="F51" s="48"/>
    </row>
    <row r="52" spans="4:6" ht="12.75">
      <c r="D52" s="50"/>
      <c r="F52" s="50"/>
    </row>
    <row r="53" spans="1:6" ht="12.75">
      <c r="A53" s="2" t="s">
        <v>81</v>
      </c>
      <c r="C53" s="71">
        <f>+C32+C43+C51</f>
        <v>5359.559999999997</v>
      </c>
      <c r="D53" s="50"/>
      <c r="E53" s="36">
        <f>+E32+E43+E51</f>
        <v>-729</v>
      </c>
      <c r="F53" s="50"/>
    </row>
    <row r="54" spans="4:6" ht="12.75">
      <c r="D54" s="50"/>
      <c r="F54" s="50"/>
    </row>
    <row r="55" spans="1:6" ht="12.75">
      <c r="A55" s="2" t="s">
        <v>82</v>
      </c>
      <c r="C55" s="42">
        <v>16510.8715</v>
      </c>
      <c r="D55" s="41"/>
      <c r="E55" s="40">
        <v>17240</v>
      </c>
      <c r="F55" s="41"/>
    </row>
    <row r="56" spans="4:6" ht="12.75">
      <c r="D56" s="50"/>
      <c r="F56" s="50"/>
    </row>
    <row r="57" spans="1:6" ht="12.75">
      <c r="A57" s="2" t="s">
        <v>83</v>
      </c>
      <c r="C57" s="75">
        <f>SUM(C53:C55)</f>
        <v>21870.4315</v>
      </c>
      <c r="D57" s="52"/>
      <c r="E57" s="51">
        <f>SUM(E53:E55)</f>
        <v>16511</v>
      </c>
      <c r="F57" s="52"/>
    </row>
    <row r="58" spans="4:6" ht="12.75">
      <c r="D58" s="25"/>
      <c r="F58" s="25"/>
    </row>
    <row r="59" spans="4:6" ht="12.75">
      <c r="D59" s="25"/>
      <c r="F59" s="25"/>
    </row>
    <row r="60" spans="4:6" ht="12.75">
      <c r="D60" s="25"/>
      <c r="F60" s="25"/>
    </row>
    <row r="61" spans="4:6" ht="12.75">
      <c r="D61" s="25"/>
      <c r="F61" s="25"/>
    </row>
    <row r="62" spans="4:6" ht="12.75">
      <c r="D62" s="25"/>
      <c r="F62" s="25"/>
    </row>
    <row r="63" spans="4:6" ht="12.75">
      <c r="D63" s="25"/>
      <c r="F63" s="25"/>
    </row>
    <row r="64" spans="2:6" ht="12" customHeight="1">
      <c r="B64" s="66"/>
      <c r="C64" s="76"/>
      <c r="D64" s="67"/>
      <c r="E64" s="68"/>
      <c r="F64" s="67"/>
    </row>
    <row r="65" spans="2:6" ht="12.75">
      <c r="B65" s="53"/>
      <c r="C65" s="77"/>
      <c r="D65" s="53"/>
      <c r="E65" s="69"/>
      <c r="F65" s="53"/>
    </row>
    <row r="66" spans="2:6" ht="12.75">
      <c r="B66" s="53"/>
      <c r="C66" s="78"/>
      <c r="D66" s="54"/>
      <c r="E66" s="70"/>
      <c r="F66" s="54"/>
    </row>
    <row r="67" spans="2:6" ht="12.75">
      <c r="B67" s="53"/>
      <c r="C67" s="79"/>
      <c r="D67" s="54"/>
      <c r="E67" s="55"/>
      <c r="F67" s="54"/>
    </row>
    <row r="68" spans="1:2" ht="12.75">
      <c r="A68" s="56"/>
      <c r="B68" s="57"/>
    </row>
  </sheetData>
  <printOptions horizontalCentered="1"/>
  <pageMargins left="0.75" right="0.75" top="0.26" bottom="0.26" header="0.15" footer="0.26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 users</dc:creator>
  <cp:keywords/>
  <dc:description/>
  <cp:lastModifiedBy>jk</cp:lastModifiedBy>
  <cp:lastPrinted>2006-03-31T07:49:11Z</cp:lastPrinted>
  <dcterms:created xsi:type="dcterms:W3CDTF">2006-03-24T11:22:58Z</dcterms:created>
  <dcterms:modified xsi:type="dcterms:W3CDTF">2006-03-31T09:39:08Z</dcterms:modified>
  <cp:category/>
  <cp:version/>
  <cp:contentType/>
  <cp:contentStatus/>
</cp:coreProperties>
</file>